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90" windowWidth="13695" windowHeight="8760" activeTab="0"/>
  </bookViews>
  <sheets>
    <sheet name="Berechnung" sheetId="1" r:id="rId1"/>
    <sheet name="Korrekturfaktoren" sheetId="2" r:id="rId2"/>
    <sheet name="Kalkulation Erschliessung" sheetId="3" r:id="rId3"/>
  </sheets>
  <definedNames>
    <definedName name="_xlnm.Print_Area" localSheetId="0">'Berechnung'!$A$1:$F$23</definedName>
  </definedNames>
  <calcPr fullCalcOnLoad="1"/>
</workbook>
</file>

<file path=xl/sharedStrings.xml><?xml version="1.0" encoding="utf-8"?>
<sst xmlns="http://schemas.openxmlformats.org/spreadsheetml/2006/main" count="70" uniqueCount="56">
  <si>
    <t>Berechnung Baurechtszins</t>
  </si>
  <si>
    <t>Zinssatz</t>
  </si>
  <si>
    <t>Korrekturfaktor</t>
  </si>
  <si>
    <t>Landwert brutto</t>
  </si>
  <si>
    <t>= Landwert netto</t>
  </si>
  <si>
    <t>Baurechtsdauer</t>
  </si>
  <si>
    <t>Ermittlung Korrekturfaktor</t>
  </si>
  <si>
    <t>Baurechtszins p.a.</t>
  </si>
  <si>
    <t>CHF</t>
  </si>
  <si>
    <t>%</t>
  </si>
  <si>
    <t>Jahre</t>
  </si>
  <si>
    <t>Amortisation in</t>
  </si>
  <si>
    <t>Jahren</t>
  </si>
  <si>
    <t>Baurechtsfläche</t>
  </si>
  <si>
    <r>
      <t>m</t>
    </r>
    <r>
      <rPr>
        <sz val="12"/>
        <rFont val="Frutiger 45 Light"/>
        <family val="2"/>
      </rPr>
      <t>²</t>
    </r>
  </si>
  <si>
    <t>Jährliche Annuität</t>
  </si>
  <si>
    <t>Total jährliche Kosten</t>
  </si>
  <si>
    <t>Einmalige Kosten (vorschüssig zu bezahlen)</t>
  </si>
  <si>
    <t>p.m. Kosten Gesamtlaufzeit</t>
  </si>
  <si>
    <t>Erschliessungskosten</t>
  </si>
  <si>
    <t>Strasse</t>
  </si>
  <si>
    <t>Total</t>
  </si>
  <si>
    <t>pro m2</t>
  </si>
  <si>
    <t>Minimum</t>
  </si>
  <si>
    <t>Maximum</t>
  </si>
  <si>
    <t>= Rabatt</t>
  </si>
  <si>
    <t>(entspricht einem Rabatt von</t>
  </si>
  <si>
    <t>Baubereich Nord</t>
  </si>
  <si>
    <t>Baubereich Süd</t>
  </si>
  <si>
    <t>Nord</t>
  </si>
  <si>
    <t>Baubereich</t>
  </si>
  <si>
    <t>Ø</t>
  </si>
  <si>
    <t>Etappe I</t>
  </si>
  <si>
    <t>Etappe II</t>
  </si>
  <si>
    <t>Lawinenwand 60%</t>
  </si>
  <si>
    <t>Lawinenwand 40%</t>
  </si>
  <si>
    <t>pro Feld</t>
  </si>
  <si>
    <t>Baurechtsfläche netto</t>
  </si>
  <si>
    <t>Lawinenschutzwand</t>
  </si>
  <si>
    <t>Variante Flachfundation</t>
  </si>
  <si>
    <t>Variante Mikropfähle</t>
  </si>
  <si>
    <t>Erschliessungsstrasse, Wendeplatz,</t>
  </si>
  <si>
    <t>Die Erstellungskosten für die Wasserversorgung und Abwasserentsorgung gehen zu Lasten der</t>
  </si>
  <si>
    <t>Gemeinde. Die Baurechtsnehmer haben die ordentlichen Anschlussgebühren zu bezahlen,</t>
  </si>
  <si>
    <t>Hinweis</t>
  </si>
  <si>
    <t>welche im Baubewilligungsverfahren erhoben werden (Art. 21 Abs. 2).</t>
  </si>
  <si>
    <t>Die Kosten für den Anschluss an die Elektroversorgung und die Telekommunikation werden von</t>
  </si>
  <si>
    <t>Die Erstellung der privaten Anschlussleitungen, Zufahrten und Vorplätze ist Sache der Baurechts-</t>
  </si>
  <si>
    <t>(Art. 10)</t>
  </si>
  <si>
    <t>Palisade (Art. 21 Abs. 1)</t>
  </si>
  <si>
    <t>der Repower AG bzw. Swisscom AG belastet (Art. 21 Abs. 3).</t>
  </si>
  <si>
    <t>nehmer (Art. 21 Abs. 4)</t>
  </si>
  <si>
    <t>Die erwähnten Artikel beziehen sich auf die Vorschriften zum GGP und GEP Föglias.</t>
  </si>
  <si>
    <r>
      <t xml:space="preserve">./. Erschliessungskosten </t>
    </r>
    <r>
      <rPr>
        <sz val="8"/>
        <rFont val="Arial"/>
        <family val="2"/>
      </rPr>
      <t>(siehe Lasche 3)</t>
    </r>
  </si>
  <si>
    <t>Kredit durch Gemeinde für Erschliessungskosten</t>
  </si>
  <si>
    <t>gewünschter Anteil Finanzierung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</si>
</sst>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dd\-mmm\-yyyy"/>
    <numFmt numFmtId="185" formatCode="dd\-mmmm\-yyyy"/>
    <numFmt numFmtId="186" formatCode="dd/mm/\ yy"/>
    <numFmt numFmtId="187" formatCode="dd/\ mmmm\ yyyy"/>
    <numFmt numFmtId="188" formatCode="dd/\ mmm/\ yyyy"/>
    <numFmt numFmtId="189" formatCode="d/\ mmmm\,\ yy"/>
    <numFmt numFmtId="190" formatCode="dd/\ mmmm\ yy"/>
    <numFmt numFmtId="191" formatCode="dd/\ mmm/\ yy"/>
    <numFmt numFmtId="192" formatCode="d/\ mmmm\,\ yyyy"/>
    <numFmt numFmtId="193" formatCode="dd/\ mmmm\,\ yyyy"/>
    <numFmt numFmtId="194" formatCode="_ [$CHF]\ * #,##0.00_ ;_ [$CHF]\ * \-#,##0.00_ ;_ [$CHF]\ * &quot;-&quot;??_ ;_ @_ "/>
    <numFmt numFmtId="195" formatCode="_ [$€]\ * #,##0.00_ ;_ [$€]\ * \-#,##0.00_ ;_ [$€]\ * &quot;-&quot;??_ ;_ @_ "/>
    <numFmt numFmtId="196" formatCode="_ * #,##0.0_ ;_ * \-#,##0.0_ ;_ * &quot;-&quot;??_ ;_ @_ "/>
    <numFmt numFmtId="197" formatCode="_ * #,##0_ ;_ * \-#,##0_ ;_ * &quot;-&quot;??_ ;_ @_ "/>
    <numFmt numFmtId="198" formatCode="0.0%"/>
    <numFmt numFmtId="199" formatCode="#,##0&quot; m2&quot;"/>
    <numFmt numFmtId="200" formatCode="0%&quot;)&quot;"/>
  </numFmts>
  <fonts count="47">
    <font>
      <sz val="10"/>
      <name val="Arial"/>
      <family val="0"/>
    </font>
    <font>
      <sz val="10.5"/>
      <name val="Frutiger 45 Light"/>
      <family val="2"/>
    </font>
    <font>
      <b/>
      <sz val="10.5"/>
      <name val="Frutiger 45 Light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Frutiger 45 Light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9" fontId="1" fillId="0" borderId="0" xfId="49" applyFont="1" applyAlignment="1">
      <alignment/>
    </xf>
    <xf numFmtId="0" fontId="1" fillId="0" borderId="0" xfId="0" applyFont="1" applyAlignment="1" quotePrefix="1">
      <alignment horizontal="right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99" fontId="0" fillId="0" borderId="17" xfId="0" applyNumberFormat="1" applyBorder="1" applyAlignment="1">
      <alignment horizontal="center" vertical="center"/>
    </xf>
    <xf numFmtId="199" fontId="0" fillId="0" borderId="18" xfId="0" applyNumberFormat="1" applyBorder="1" applyAlignment="1">
      <alignment horizontal="center" vertical="center"/>
    </xf>
    <xf numFmtId="19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97" fontId="4" fillId="33" borderId="0" xfId="46" applyNumberFormat="1" applyFont="1" applyFill="1" applyAlignment="1" applyProtection="1">
      <alignment horizontal="center" vertical="center"/>
      <protection locked="0"/>
    </xf>
    <xf numFmtId="199" fontId="0" fillId="0" borderId="33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4" fillId="33" borderId="0" xfId="46" applyNumberFormat="1" applyFont="1" applyFill="1" applyAlignment="1" applyProtection="1">
      <alignment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vertical="center"/>
      <protection/>
    </xf>
    <xf numFmtId="3" fontId="4" fillId="0" borderId="0" xfId="46" applyNumberFormat="1" applyFont="1" applyAlignment="1" applyProtection="1">
      <alignment vertical="center"/>
      <protection/>
    </xf>
    <xf numFmtId="197" fontId="4" fillId="0" borderId="0" xfId="46" applyNumberFormat="1" applyFont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3" fontId="4" fillId="0" borderId="35" xfId="46" applyNumberFormat="1" applyFont="1" applyBorder="1" applyAlignment="1" applyProtection="1">
      <alignment vertical="center"/>
      <protection/>
    </xf>
    <xf numFmtId="197" fontId="4" fillId="0" borderId="35" xfId="46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 quotePrefix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43" fontId="4" fillId="0" borderId="0" xfId="46" applyFont="1" applyAlignment="1" applyProtection="1">
      <alignment vertical="center"/>
      <protection/>
    </xf>
    <xf numFmtId="43" fontId="4" fillId="0" borderId="0" xfId="46" applyFont="1" applyAlignment="1" applyProtection="1" quotePrefix="1">
      <alignment vertical="center"/>
      <protection/>
    </xf>
    <xf numFmtId="0" fontId="8" fillId="0" borderId="0" xfId="0" applyNumberFormat="1" applyFont="1" applyAlignment="1" applyProtection="1" quotePrefix="1">
      <alignment vertical="center"/>
      <protection/>
    </xf>
    <xf numFmtId="200" fontId="8" fillId="0" borderId="0" xfId="49" applyNumberFormat="1" applyFont="1" applyAlignment="1" applyProtection="1" quotePrefix="1">
      <alignment vertical="center"/>
      <protection/>
    </xf>
    <xf numFmtId="0" fontId="4" fillId="0" borderId="38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3" fontId="4" fillId="0" borderId="39" xfId="46" applyNumberFormat="1" applyFont="1" applyBorder="1" applyAlignment="1" applyProtection="1">
      <alignment vertical="center"/>
      <protection/>
    </xf>
    <xf numFmtId="0" fontId="4" fillId="0" borderId="40" xfId="0" applyNumberFormat="1" applyFont="1" applyBorder="1" applyAlignment="1" applyProtection="1">
      <alignment vertical="center"/>
      <protection/>
    </xf>
    <xf numFmtId="197" fontId="4" fillId="0" borderId="0" xfId="0" applyNumberFormat="1" applyFont="1" applyAlignment="1" applyProtection="1">
      <alignment vertical="center"/>
      <protection/>
    </xf>
    <xf numFmtId="3" fontId="4" fillId="0" borderId="39" xfId="0" applyNumberFormat="1" applyFont="1" applyBorder="1" applyAlignment="1" applyProtection="1">
      <alignment vertical="center"/>
      <protection/>
    </xf>
    <xf numFmtId="0" fontId="3" fillId="0" borderId="38" xfId="0" applyNumberFormat="1" applyFont="1" applyBorder="1" applyAlignment="1" applyProtection="1">
      <alignment vertical="center"/>
      <protection/>
    </xf>
    <xf numFmtId="0" fontId="3" fillId="0" borderId="39" xfId="0" applyNumberFormat="1" applyFont="1" applyBorder="1" applyAlignment="1" applyProtection="1">
      <alignment vertical="center"/>
      <protection/>
    </xf>
    <xf numFmtId="3" fontId="3" fillId="0" borderId="39" xfId="0" applyNumberFormat="1" applyFont="1" applyBorder="1" applyAlignment="1" applyProtection="1">
      <alignment vertical="center"/>
      <protection/>
    </xf>
    <xf numFmtId="0" fontId="3" fillId="0" borderId="40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41" xfId="0" applyNumberFormat="1" applyFont="1" applyBorder="1" applyAlignment="1" applyProtection="1">
      <alignment vertical="center"/>
      <protection/>
    </xf>
    <xf numFmtId="197" fontId="4" fillId="0" borderId="41" xfId="0" applyNumberFormat="1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Euro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Warnender Text" xfId="58"/>
    <cellStyle name="Zelle überprüfen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C3" sqref="C3"/>
    </sheetView>
  </sheetViews>
  <sheetFormatPr defaultColWidth="12.140625" defaultRowHeight="12.75"/>
  <cols>
    <col min="1" max="1" width="2.00390625" style="64" customWidth="1"/>
    <col min="2" max="2" width="39.57421875" style="64" bestFit="1" customWidth="1"/>
    <col min="3" max="3" width="9.28125" style="64" bestFit="1" customWidth="1"/>
    <col min="4" max="4" width="11.28125" style="64" customWidth="1"/>
    <col min="5" max="5" width="13.57421875" style="64" bestFit="1" customWidth="1"/>
    <col min="6" max="6" width="6.00390625" style="64" bestFit="1" customWidth="1"/>
    <col min="7" max="16384" width="12.140625" style="64" customWidth="1"/>
  </cols>
  <sheetData>
    <row r="1" ht="26.25">
      <c r="B1" s="65" t="s">
        <v>0</v>
      </c>
    </row>
    <row r="3" spans="2:6" s="66" customFormat="1" ht="32.25" customHeight="1">
      <c r="B3" s="66" t="s">
        <v>13</v>
      </c>
      <c r="C3" s="62">
        <v>700</v>
      </c>
      <c r="D3" s="66" t="s">
        <v>14</v>
      </c>
      <c r="E3" s="66" t="s">
        <v>30</v>
      </c>
      <c r="F3" s="41" t="s">
        <v>29</v>
      </c>
    </row>
    <row r="4" spans="2:5" s="66" customFormat="1" ht="32.25" customHeight="1">
      <c r="B4" s="66" t="s">
        <v>3</v>
      </c>
      <c r="C4" s="67">
        <v>700</v>
      </c>
      <c r="D4" s="68" t="s">
        <v>8</v>
      </c>
      <c r="E4" s="67">
        <f>+C4*C3</f>
        <v>490000</v>
      </c>
    </row>
    <row r="5" spans="2:6" s="66" customFormat="1" ht="32.25" customHeight="1">
      <c r="B5" s="69" t="s">
        <v>53</v>
      </c>
      <c r="C5" s="70">
        <f>IF(F3="Nord",+'Kalkulation Erschliessung'!B25,IF(F3="Süd",+'Kalkulation Erschliessung'!C25,0))</f>
        <v>201</v>
      </c>
      <c r="D5" s="71" t="s">
        <v>8</v>
      </c>
      <c r="E5" s="70">
        <f>IF(C5&gt;0,+C3*C5,0)</f>
        <v>140700</v>
      </c>
      <c r="F5" s="69"/>
    </row>
    <row r="6" spans="2:6" s="66" customFormat="1" ht="32.25" customHeight="1">
      <c r="B6" s="72" t="s">
        <v>4</v>
      </c>
      <c r="C6" s="67">
        <f>+C4-C5</f>
        <v>499</v>
      </c>
      <c r="D6" s="68" t="s">
        <v>8</v>
      </c>
      <c r="E6" s="73">
        <f>+C6*C3</f>
        <v>349300</v>
      </c>
      <c r="F6" s="66" t="s">
        <v>8</v>
      </c>
    </row>
    <row r="7" spans="2:6" s="66" customFormat="1" ht="32.25" customHeight="1">
      <c r="B7" s="66" t="s">
        <v>1</v>
      </c>
      <c r="E7" s="74">
        <v>2.5</v>
      </c>
      <c r="F7" s="66" t="s">
        <v>9</v>
      </c>
    </row>
    <row r="8" spans="2:4" s="66" customFormat="1" ht="32.25" customHeight="1">
      <c r="B8" s="66" t="s">
        <v>5</v>
      </c>
      <c r="C8" s="63">
        <v>30</v>
      </c>
      <c r="D8" s="66" t="s">
        <v>10</v>
      </c>
    </row>
    <row r="9" spans="2:5" s="66" customFormat="1" ht="32.25" customHeight="1">
      <c r="B9" s="66" t="s">
        <v>2</v>
      </c>
      <c r="E9" s="75">
        <f>IF(C8&gt;0,VLOOKUP(C8,Korrekturfaktoren!A3:C23,2),0)</f>
        <v>0.5</v>
      </c>
    </row>
    <row r="10" spans="2:3" s="66" customFormat="1" ht="32.25" customHeight="1">
      <c r="B10" s="76" t="s">
        <v>26</v>
      </c>
      <c r="C10" s="77">
        <f>IF(C8&gt;0,VLOOKUP(C8,Korrekturfaktoren!A3:C23,3),"")</f>
        <v>0.5</v>
      </c>
    </row>
    <row r="11" s="66" customFormat="1" ht="32.25" customHeight="1" thickBot="1">
      <c r="E11" s="74"/>
    </row>
    <row r="12" spans="1:6" s="66" customFormat="1" ht="32.25" customHeight="1" thickBot="1">
      <c r="A12" s="78"/>
      <c r="B12" s="79" t="s">
        <v>7</v>
      </c>
      <c r="C12" s="79"/>
      <c r="D12" s="79"/>
      <c r="E12" s="80">
        <f>+C3*C6*E7%*E9</f>
        <v>4366.25</v>
      </c>
      <c r="F12" s="81" t="s">
        <v>8</v>
      </c>
    </row>
    <row r="13" s="66" customFormat="1" ht="32.25" customHeight="1"/>
    <row r="14" s="66" customFormat="1" ht="32.25" customHeight="1">
      <c r="B14" s="66" t="s">
        <v>54</v>
      </c>
    </row>
    <row r="15" spans="2:7" s="66" customFormat="1" ht="32.25" customHeight="1">
      <c r="B15" s="66" t="s">
        <v>55</v>
      </c>
      <c r="C15" s="62">
        <v>30</v>
      </c>
      <c r="D15" s="66" t="s">
        <v>9</v>
      </c>
      <c r="E15" s="73">
        <f>+C5*C3*C15%</f>
        <v>42210</v>
      </c>
      <c r="F15" s="66" t="s">
        <v>8</v>
      </c>
      <c r="G15" s="82"/>
    </row>
    <row r="16" spans="2:4" s="66" customFormat="1" ht="32.25" customHeight="1" thickBot="1">
      <c r="B16" s="66" t="s">
        <v>11</v>
      </c>
      <c r="C16" s="73">
        <f>IF(C15&gt;0,+C8-3,0)</f>
        <v>27</v>
      </c>
      <c r="D16" s="66" t="s">
        <v>12</v>
      </c>
    </row>
    <row r="17" spans="1:6" s="66" customFormat="1" ht="32.25" customHeight="1" thickBot="1">
      <c r="A17" s="78"/>
      <c r="B17" s="79" t="s">
        <v>15</v>
      </c>
      <c r="C17" s="79"/>
      <c r="D17" s="79"/>
      <c r="E17" s="83">
        <f>IF(C16&gt;0,ROUND(PMT(E7%,C16,-E15,0,0),0),0)</f>
        <v>2169</v>
      </c>
      <c r="F17" s="81" t="s">
        <v>8</v>
      </c>
    </row>
    <row r="18" s="66" customFormat="1" ht="32.25" customHeight="1" thickBot="1"/>
    <row r="19" spans="1:6" s="66" customFormat="1" ht="32.25" customHeight="1" thickBot="1">
      <c r="A19" s="84"/>
      <c r="B19" s="85" t="s">
        <v>16</v>
      </c>
      <c r="C19" s="85"/>
      <c r="D19" s="85"/>
      <c r="E19" s="86">
        <f>+E17+E12</f>
        <v>6535.25</v>
      </c>
      <c r="F19" s="87" t="s">
        <v>8</v>
      </c>
    </row>
    <row r="20" spans="1:6" s="66" customFormat="1" ht="32.25" customHeight="1" thickBot="1">
      <c r="A20" s="84"/>
      <c r="B20" s="85" t="s">
        <v>17</v>
      </c>
      <c r="C20" s="85"/>
      <c r="D20" s="85"/>
      <c r="E20" s="86">
        <f>+E5-E15</f>
        <v>98490</v>
      </c>
      <c r="F20" s="87" t="s">
        <v>8</v>
      </c>
    </row>
    <row r="21" s="66" customFormat="1" ht="32.25" customHeight="1"/>
    <row r="22" s="66" customFormat="1" ht="32.25" customHeight="1"/>
    <row r="23" spans="1:6" s="66" customFormat="1" ht="32.25" customHeight="1">
      <c r="A23" s="88"/>
      <c r="B23" s="89" t="s">
        <v>18</v>
      </c>
      <c r="C23" s="89"/>
      <c r="D23" s="89"/>
      <c r="E23" s="90">
        <f>+E19*C16+E5-E15</f>
        <v>274941.75</v>
      </c>
      <c r="F23" s="91" t="s">
        <v>8</v>
      </c>
    </row>
  </sheetData>
  <sheetProtection password="83F1" sheet="1" selectLockedCells="1"/>
  <dataValidations count="3">
    <dataValidation type="whole" allowBlank="1" showInputMessage="1" showErrorMessage="1" errorTitle="Fehler" error="nur ganze Zahlen zwischen 0 und 40 sind möglich&#10;" sqref="C15">
      <formula1>0</formula1>
      <formula2>40</formula2>
    </dataValidation>
    <dataValidation type="whole" allowBlank="1" showInputMessage="1" showErrorMessage="1" errorTitle="Fehler" error="Minimum 30 Jahre, Maximum 50 Jahre, nur ganze Zahlen&#10;&#10;" sqref="C8">
      <formula1>30</formula1>
      <formula2>50</formula2>
    </dataValidation>
    <dataValidation type="list" allowBlank="1" showInputMessage="1" showErrorMessage="1" errorTitle="Eingabefehler" error="Bitte einen Eintrag aus der Liste wählen!" sqref="F3">
      <formula1>"Nord, Süd"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3"/>
  <headerFooter alignWithMargins="0">
    <oddFooter>&amp;CVersion Gemeindeversammlung 21.6.2012</oddFooter>
  </headerFooter>
  <legacyDrawing r:id="rId2"/>
  <oleObjects>
    <oleObject progId="Equation.3" shapeId="6135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7" sqref="D7"/>
    </sheetView>
  </sheetViews>
  <sheetFormatPr defaultColWidth="12.140625" defaultRowHeight="12.75"/>
  <cols>
    <col min="1" max="1" width="14.8515625" style="1" customWidth="1"/>
    <col min="2" max="2" width="15.8515625" style="1" customWidth="1"/>
    <col min="3" max="16384" width="12.140625" style="1" customWidth="1"/>
  </cols>
  <sheetData>
    <row r="1" spans="1:2" ht="13.5">
      <c r="A1" s="92" t="s">
        <v>6</v>
      </c>
      <c r="B1" s="92"/>
    </row>
    <row r="2" spans="1:3" ht="13.5">
      <c r="A2" s="2" t="s">
        <v>5</v>
      </c>
      <c r="B2" s="2" t="s">
        <v>2</v>
      </c>
      <c r="C2" s="7" t="s">
        <v>25</v>
      </c>
    </row>
    <row r="3" spans="1:3" ht="13.5">
      <c r="A3" s="2">
        <v>30</v>
      </c>
      <c r="B3" s="3">
        <v>0.5</v>
      </c>
      <c r="C3" s="6">
        <f>1-B3</f>
        <v>0.5</v>
      </c>
    </row>
    <row r="4" spans="1:3" ht="13.5">
      <c r="A4" s="2">
        <v>31</v>
      </c>
      <c r="B4" s="3">
        <v>0.51</v>
      </c>
      <c r="C4" s="6">
        <f aca="true" t="shared" si="0" ref="C4:C23">1-B4</f>
        <v>0.49</v>
      </c>
    </row>
    <row r="5" spans="1:3" ht="13.5">
      <c r="A5" s="2">
        <v>32</v>
      </c>
      <c r="B5" s="3">
        <v>0.52</v>
      </c>
      <c r="C5" s="6">
        <f t="shared" si="0"/>
        <v>0.48</v>
      </c>
    </row>
    <row r="6" spans="1:3" ht="13.5">
      <c r="A6" s="2">
        <v>33</v>
      </c>
      <c r="B6" s="3">
        <v>0.53</v>
      </c>
      <c r="C6" s="6">
        <f t="shared" si="0"/>
        <v>0.47</v>
      </c>
    </row>
    <row r="7" spans="1:3" ht="13.5">
      <c r="A7" s="2">
        <v>34</v>
      </c>
      <c r="B7" s="3">
        <v>0.54</v>
      </c>
      <c r="C7" s="6">
        <f t="shared" si="0"/>
        <v>0.45999999999999996</v>
      </c>
    </row>
    <row r="8" spans="1:3" ht="13.5">
      <c r="A8" s="2">
        <v>35</v>
      </c>
      <c r="B8" s="3">
        <v>0.55</v>
      </c>
      <c r="C8" s="6">
        <f t="shared" si="0"/>
        <v>0.44999999999999996</v>
      </c>
    </row>
    <row r="9" spans="1:3" ht="13.5">
      <c r="A9" s="2">
        <v>36</v>
      </c>
      <c r="B9" s="3">
        <v>0.56</v>
      </c>
      <c r="C9" s="6">
        <f t="shared" si="0"/>
        <v>0.43999999999999995</v>
      </c>
    </row>
    <row r="10" spans="1:3" ht="13.5">
      <c r="A10" s="2">
        <v>37</v>
      </c>
      <c r="B10" s="3">
        <v>0.57</v>
      </c>
      <c r="C10" s="6">
        <f t="shared" si="0"/>
        <v>0.43000000000000005</v>
      </c>
    </row>
    <row r="11" spans="1:3" ht="13.5">
      <c r="A11" s="2">
        <v>38</v>
      </c>
      <c r="B11" s="3">
        <v>0.58</v>
      </c>
      <c r="C11" s="6">
        <f t="shared" si="0"/>
        <v>0.42000000000000004</v>
      </c>
    </row>
    <row r="12" spans="1:3" ht="13.5">
      <c r="A12" s="2">
        <v>39</v>
      </c>
      <c r="B12" s="3">
        <v>0.59</v>
      </c>
      <c r="C12" s="6">
        <f t="shared" si="0"/>
        <v>0.41000000000000003</v>
      </c>
    </row>
    <row r="13" spans="1:3" ht="13.5">
      <c r="A13" s="2">
        <v>40</v>
      </c>
      <c r="B13" s="3">
        <v>0.6</v>
      </c>
      <c r="C13" s="6">
        <f t="shared" si="0"/>
        <v>0.4</v>
      </c>
    </row>
    <row r="14" spans="1:3" ht="13.5">
      <c r="A14" s="2">
        <v>41</v>
      </c>
      <c r="B14" s="3">
        <v>0.61</v>
      </c>
      <c r="C14" s="6">
        <f t="shared" si="0"/>
        <v>0.39</v>
      </c>
    </row>
    <row r="15" spans="1:3" ht="13.5">
      <c r="A15" s="2">
        <v>42</v>
      </c>
      <c r="B15" s="3">
        <v>0.62</v>
      </c>
      <c r="C15" s="6">
        <f t="shared" si="0"/>
        <v>0.38</v>
      </c>
    </row>
    <row r="16" spans="1:3" ht="13.5">
      <c r="A16" s="2">
        <v>43</v>
      </c>
      <c r="B16" s="3">
        <v>0.63</v>
      </c>
      <c r="C16" s="6">
        <f t="shared" si="0"/>
        <v>0.37</v>
      </c>
    </row>
    <row r="17" spans="1:3" ht="13.5">
      <c r="A17" s="2">
        <v>44</v>
      </c>
      <c r="B17" s="3">
        <v>0.64</v>
      </c>
      <c r="C17" s="6">
        <f t="shared" si="0"/>
        <v>0.36</v>
      </c>
    </row>
    <row r="18" spans="1:3" ht="13.5">
      <c r="A18" s="2">
        <v>45</v>
      </c>
      <c r="B18" s="3">
        <v>0.65</v>
      </c>
      <c r="C18" s="6">
        <f t="shared" si="0"/>
        <v>0.35</v>
      </c>
    </row>
    <row r="19" spans="1:3" ht="13.5">
      <c r="A19" s="2">
        <v>46</v>
      </c>
      <c r="B19" s="3">
        <v>0.66</v>
      </c>
      <c r="C19" s="6">
        <f t="shared" si="0"/>
        <v>0.33999999999999997</v>
      </c>
    </row>
    <row r="20" spans="1:3" ht="13.5">
      <c r="A20" s="2">
        <v>47</v>
      </c>
      <c r="B20" s="3">
        <v>0.67</v>
      </c>
      <c r="C20" s="6">
        <f t="shared" si="0"/>
        <v>0.32999999999999996</v>
      </c>
    </row>
    <row r="21" spans="1:3" ht="13.5">
      <c r="A21" s="2">
        <v>48</v>
      </c>
      <c r="B21" s="3">
        <v>0.68</v>
      </c>
      <c r="C21" s="6">
        <f t="shared" si="0"/>
        <v>0.31999999999999995</v>
      </c>
    </row>
    <row r="22" spans="1:3" ht="13.5">
      <c r="A22" s="2">
        <v>49</v>
      </c>
      <c r="B22" s="3">
        <v>0.69</v>
      </c>
      <c r="C22" s="6">
        <f t="shared" si="0"/>
        <v>0.31000000000000005</v>
      </c>
    </row>
    <row r="23" spans="1:3" ht="13.5">
      <c r="A23" s="2">
        <v>50</v>
      </c>
      <c r="B23" s="3">
        <v>0.7</v>
      </c>
      <c r="C23" s="6">
        <f t="shared" si="0"/>
        <v>0.30000000000000004</v>
      </c>
    </row>
  </sheetData>
  <sheetProtection password="83F1" sheet="1"/>
  <mergeCells count="1">
    <mergeCell ref="A1:B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7.57421875" style="0" bestFit="1" customWidth="1"/>
    <col min="3" max="4" width="16.421875" style="0" customWidth="1"/>
    <col min="5" max="5" width="13.00390625" style="0" customWidth="1"/>
    <col min="6" max="6" width="8.57421875" style="0" hidden="1" customWidth="1"/>
    <col min="7" max="7" width="11.421875" style="0" customWidth="1"/>
    <col min="8" max="10" width="17.57421875" style="0" customWidth="1"/>
  </cols>
  <sheetData>
    <row r="1" ht="15.75">
      <c r="A1" s="4"/>
    </row>
    <row r="2" spans="1:5" ht="27.75" customHeight="1">
      <c r="A2" s="59" t="s">
        <v>19</v>
      </c>
      <c r="B2" s="60"/>
      <c r="C2" s="58" t="s">
        <v>23</v>
      </c>
      <c r="D2" s="58" t="s">
        <v>24</v>
      </c>
      <c r="E2" s="58" t="s">
        <v>31</v>
      </c>
    </row>
    <row r="3" spans="1:5" ht="12.75">
      <c r="A3" s="44"/>
      <c r="B3" s="45"/>
      <c r="C3" s="52"/>
      <c r="D3" s="52"/>
      <c r="E3" s="52"/>
    </row>
    <row r="4" spans="1:5" ht="12.75">
      <c r="A4" s="46" t="s">
        <v>38</v>
      </c>
      <c r="B4" s="47" t="s">
        <v>39</v>
      </c>
      <c r="C4" s="53">
        <v>996000</v>
      </c>
      <c r="D4" s="53"/>
      <c r="E4" s="53"/>
    </row>
    <row r="5" spans="1:5" ht="12.75">
      <c r="A5" s="51" t="s">
        <v>48</v>
      </c>
      <c r="B5" s="47" t="s">
        <v>40</v>
      </c>
      <c r="C5" s="54"/>
      <c r="D5" s="53">
        <v>1180000</v>
      </c>
      <c r="E5" s="53">
        <f>AVERAGE(C4:D5)</f>
        <v>1088000</v>
      </c>
    </row>
    <row r="6" spans="1:5" ht="12.75">
      <c r="A6" s="49"/>
      <c r="B6" s="50"/>
      <c r="C6" s="55"/>
      <c r="D6" s="55"/>
      <c r="E6" s="55"/>
    </row>
    <row r="7" spans="1:5" ht="12.75">
      <c r="A7" s="44"/>
      <c r="B7" s="45"/>
      <c r="C7" s="56"/>
      <c r="D7" s="56"/>
      <c r="E7" s="56"/>
    </row>
    <row r="8" spans="1:5" ht="12.75">
      <c r="A8" s="51" t="s">
        <v>41</v>
      </c>
      <c r="B8" s="48"/>
      <c r="C8" s="53">
        <v>600000</v>
      </c>
      <c r="D8" s="53">
        <v>600000</v>
      </c>
      <c r="E8" s="53">
        <f>AVERAGE(C6:D8)</f>
        <v>600000</v>
      </c>
    </row>
    <row r="9" spans="1:5" ht="12.75">
      <c r="A9" s="51" t="s">
        <v>49</v>
      </c>
      <c r="B9" s="48"/>
      <c r="C9" s="53"/>
      <c r="D9" s="53"/>
      <c r="E9" s="53"/>
    </row>
    <row r="10" spans="1:5" ht="12.75">
      <c r="A10" s="49"/>
      <c r="B10" s="50"/>
      <c r="C10" s="57"/>
      <c r="D10" s="57"/>
      <c r="E10" s="57"/>
    </row>
    <row r="11" spans="1:5" ht="12.75">
      <c r="A11" s="44"/>
      <c r="B11" s="45"/>
      <c r="C11" s="52"/>
      <c r="D11" s="52"/>
      <c r="E11" s="52"/>
    </row>
    <row r="12" spans="1:5" ht="12.75">
      <c r="A12" s="51" t="s">
        <v>21</v>
      </c>
      <c r="B12" s="48"/>
      <c r="C12" s="53">
        <f>+C4+C6+C8</f>
        <v>1596000</v>
      </c>
      <c r="D12" s="53">
        <f>+D8+D6+D5</f>
        <v>1780000</v>
      </c>
      <c r="E12" s="53">
        <f>+E5+E8</f>
        <v>1688000</v>
      </c>
    </row>
    <row r="13" spans="1:5" ht="12.75">
      <c r="A13" s="49"/>
      <c r="B13" s="50"/>
      <c r="C13" s="57"/>
      <c r="D13" s="57"/>
      <c r="E13" s="57"/>
    </row>
    <row r="17" spans="1:5" s="11" customFormat="1" ht="28.5" customHeight="1">
      <c r="A17" s="8"/>
      <c r="B17" s="93" t="s">
        <v>32</v>
      </c>
      <c r="C17" s="94"/>
      <c r="D17" s="9" t="s">
        <v>33</v>
      </c>
      <c r="E17" s="10" t="s">
        <v>21</v>
      </c>
    </row>
    <row r="18" spans="1:5" s="11" customFormat="1" ht="28.5" customHeight="1">
      <c r="A18" s="12"/>
      <c r="B18" s="13" t="s">
        <v>27</v>
      </c>
      <c r="C18" s="14" t="s">
        <v>28</v>
      </c>
      <c r="D18" s="15"/>
      <c r="E18" s="16"/>
    </row>
    <row r="19" spans="1:5" s="11" customFormat="1" ht="28.5" customHeight="1">
      <c r="A19" s="17" t="s">
        <v>37</v>
      </c>
      <c r="B19" s="18">
        <v>4800</v>
      </c>
      <c r="C19" s="19">
        <v>4800</v>
      </c>
      <c r="D19" s="20">
        <v>1800</v>
      </c>
      <c r="E19" s="42">
        <f>SUM(B19:D19)</f>
        <v>11400</v>
      </c>
    </row>
    <row r="20" spans="1:6" s="11" customFormat="1" ht="28.5" customHeight="1">
      <c r="A20" s="21" t="s">
        <v>34</v>
      </c>
      <c r="B20" s="22">
        <f>ROUND($E$20/$E$19*B19,-3)</f>
        <v>275000</v>
      </c>
      <c r="C20" s="23">
        <f>ROUND($E$20/$E$19*C19,-3)</f>
        <v>275000</v>
      </c>
      <c r="D20" s="24">
        <f>ROUND($E$20/$E$19*D19,-3)</f>
        <v>103000</v>
      </c>
      <c r="E20" s="25">
        <f>ROUND(+E5*0.6,-3)</f>
        <v>653000</v>
      </c>
      <c r="F20" s="26">
        <f>+B20+C20+D20</f>
        <v>653000</v>
      </c>
    </row>
    <row r="21" spans="1:6" s="11" customFormat="1" ht="28.5" customHeight="1">
      <c r="A21" s="27" t="s">
        <v>35</v>
      </c>
      <c r="B21" s="28">
        <f>+E21</f>
        <v>435000</v>
      </c>
      <c r="C21" s="29"/>
      <c r="D21" s="30"/>
      <c r="E21" s="31">
        <f>+E5-E20</f>
        <v>435000</v>
      </c>
      <c r="F21" s="26">
        <f>+B21+C21+D21</f>
        <v>435000</v>
      </c>
    </row>
    <row r="22" spans="1:6" s="11" customFormat="1" ht="28.5" customHeight="1">
      <c r="A22" s="32" t="s">
        <v>20</v>
      </c>
      <c r="B22" s="33">
        <f>ROUND($E$22/$E$19*B19,-3)-500</f>
        <v>252500</v>
      </c>
      <c r="C22" s="34">
        <f>ROUND($E$22/$E$19*C19,-3)-500</f>
        <v>252500</v>
      </c>
      <c r="D22" s="35">
        <f>ROUND($E$22/$E$19*D19,-3)</f>
        <v>95000</v>
      </c>
      <c r="E22" s="36">
        <f>+D8</f>
        <v>600000</v>
      </c>
      <c r="F22" s="26">
        <f>+B22+C22+D22</f>
        <v>600000</v>
      </c>
    </row>
    <row r="23" spans="1:6" s="11" customFormat="1" ht="28.5" customHeight="1">
      <c r="A23" s="12" t="s">
        <v>21</v>
      </c>
      <c r="B23" s="37">
        <f>SUM(B20:B22)</f>
        <v>962500</v>
      </c>
      <c r="C23" s="38">
        <f>SUM(C20:C22)</f>
        <v>527500</v>
      </c>
      <c r="D23" s="39">
        <f>SUM(D20:D22)</f>
        <v>198000</v>
      </c>
      <c r="E23" s="40">
        <f>SUM(E20:E22)</f>
        <v>1688000</v>
      </c>
      <c r="F23" s="26">
        <f>+B23+C23+D23</f>
        <v>1688000</v>
      </c>
    </row>
    <row r="24" spans="1:5" s="11" customFormat="1" ht="28.5" customHeight="1" hidden="1">
      <c r="A24" s="12" t="s">
        <v>36</v>
      </c>
      <c r="B24" s="37">
        <f>+B23/28</f>
        <v>34375</v>
      </c>
      <c r="C24" s="38">
        <f>+C23/28</f>
        <v>18839.285714285714</v>
      </c>
      <c r="D24" s="39"/>
      <c r="E24" s="40"/>
    </row>
    <row r="25" spans="1:5" s="11" customFormat="1" ht="28.5" customHeight="1">
      <c r="A25" s="12" t="s">
        <v>22</v>
      </c>
      <c r="B25" s="37">
        <f>ROUND(+B23/B19,0)</f>
        <v>201</v>
      </c>
      <c r="C25" s="38">
        <f>ROUND(+C23/C19,0)</f>
        <v>110</v>
      </c>
      <c r="D25" s="39">
        <f>ROUND(+D23/D19,0)</f>
        <v>110</v>
      </c>
      <c r="E25" s="40">
        <f>ROUND(+E23/E19,0)</f>
        <v>148</v>
      </c>
    </row>
    <row r="28" ht="12.75">
      <c r="A28" s="61" t="s">
        <v>44</v>
      </c>
    </row>
    <row r="29" spans="1:2" ht="12.75">
      <c r="A29" s="43" t="s">
        <v>42</v>
      </c>
      <c r="B29" s="5"/>
    </row>
    <row r="30" ht="12.75">
      <c r="A30" s="43" t="s">
        <v>43</v>
      </c>
    </row>
    <row r="31" ht="12.75">
      <c r="A31" s="43" t="s">
        <v>45</v>
      </c>
    </row>
    <row r="33" ht="12.75">
      <c r="A33" s="43" t="s">
        <v>46</v>
      </c>
    </row>
    <row r="34" ht="12.75">
      <c r="A34" s="43" t="s">
        <v>50</v>
      </c>
    </row>
    <row r="36" ht="12.75">
      <c r="A36" s="43" t="s">
        <v>47</v>
      </c>
    </row>
    <row r="37" ht="12.75">
      <c r="A37" s="43" t="s">
        <v>51</v>
      </c>
    </row>
    <row r="40" ht="12.75">
      <c r="A40" s="43" t="s">
        <v>52</v>
      </c>
    </row>
  </sheetData>
  <sheetProtection password="83F1" sheet="1" selectLockedCells="1"/>
  <mergeCells count="1">
    <mergeCell ref="B17:C1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Meuli</dc:creator>
  <cp:keywords/>
  <dc:description/>
  <cp:lastModifiedBy>President</cp:lastModifiedBy>
  <cp:lastPrinted>2012-05-23T14:43:51Z</cp:lastPrinted>
  <dcterms:created xsi:type="dcterms:W3CDTF">2000-11-21T08:16:56Z</dcterms:created>
  <dcterms:modified xsi:type="dcterms:W3CDTF">2012-05-23T14:54:37Z</dcterms:modified>
  <cp:category/>
  <cp:version/>
  <cp:contentType/>
  <cp:contentStatus/>
</cp:coreProperties>
</file>